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7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<sst xmlns="http://schemas.openxmlformats.org/spreadsheetml/2006/main" count="157" uniqueCount="72">
  <si>
    <t>Specific</t>
  </si>
  <si>
    <t>Pounds/</t>
  </si>
  <si>
    <t>Barrels/</t>
  </si>
  <si>
    <t>From:</t>
  </si>
  <si>
    <t>API</t>
  </si>
  <si>
    <t>Gravity</t>
  </si>
  <si>
    <t>Barrel</t>
  </si>
  <si>
    <t>Short Ton</t>
  </si>
  <si>
    <t>Metric Ton</t>
  </si>
  <si>
    <t>Long Ton</t>
  </si>
  <si>
    <t>To:</t>
  </si>
  <si>
    <t>Specific Gravity</t>
  </si>
  <si>
    <t>Pounds/Barrel</t>
  </si>
  <si>
    <t>Barrels/Short Ton</t>
  </si>
  <si>
    <t>Barrels/Metric Ton</t>
  </si>
  <si>
    <t>Barrels/Long Ton</t>
  </si>
  <si>
    <t>Pounds</t>
  </si>
  <si>
    <t>Short Tons</t>
  </si>
  <si>
    <t>Metric Tons</t>
  </si>
  <si>
    <t>Long Tons</t>
  </si>
  <si>
    <t>Barrels</t>
  </si>
  <si>
    <t>Kilograms</t>
  </si>
  <si>
    <t>Gallons</t>
  </si>
  <si>
    <t>Kiloliters</t>
  </si>
  <si>
    <t>Cubic Feet</t>
  </si>
  <si>
    <t>Cubic Meters</t>
  </si>
  <si>
    <t>Liters</t>
  </si>
  <si>
    <t>Thousand</t>
  </si>
  <si>
    <t>Million</t>
  </si>
  <si>
    <t>Million Short</t>
  </si>
  <si>
    <t>Million Metric</t>
  </si>
  <si>
    <t>Barrels/Day</t>
  </si>
  <si>
    <t>Barrels/Year</t>
  </si>
  <si>
    <t>Tons/Year</t>
  </si>
  <si>
    <t>Thousand Barrels/Day</t>
  </si>
  <si>
    <t>Million Barrels/Year</t>
  </si>
  <si>
    <t>Million Short Tons/Year</t>
  </si>
  <si>
    <t>Million Metric Tons/Year</t>
  </si>
  <si>
    <t>Million Long Tons/Year</t>
  </si>
  <si>
    <t>Million Kiloliters/Year</t>
  </si>
  <si>
    <t>Billion Cubic Feet/Day</t>
  </si>
  <si>
    <t>Trillion Cubic Feet/Year</t>
  </si>
  <si>
    <t>Days per Year</t>
  </si>
  <si>
    <t>API Gravity</t>
  </si>
  <si>
    <t>Inch</t>
  </si>
  <si>
    <t>Foot</t>
  </si>
  <si>
    <t>Yard</t>
  </si>
  <si>
    <t>Statute Mile</t>
  </si>
  <si>
    <t>Nautical Mile</t>
  </si>
  <si>
    <t>Meter</t>
  </si>
  <si>
    <t>Kilometer</t>
  </si>
  <si>
    <t>Quadrillion</t>
  </si>
  <si>
    <t>Crude Oil</t>
  </si>
  <si>
    <t>Btus</t>
  </si>
  <si>
    <t>Teracalories</t>
  </si>
  <si>
    <t>Therms</t>
  </si>
  <si>
    <t>Equivalent</t>
  </si>
  <si>
    <t>Quadrillion Btus</t>
  </si>
  <si>
    <t>Million Therms</t>
  </si>
  <si>
    <t>Million Crude Oil Equivalents</t>
  </si>
  <si>
    <t>Million Metric Ton Equivalents</t>
  </si>
  <si>
    <t>Fahrenheit</t>
  </si>
  <si>
    <t>Centigrade</t>
  </si>
  <si>
    <t>-</t>
  </si>
  <si>
    <t xml:space="preserve">Temperature </t>
  </si>
  <si>
    <t>Energy</t>
  </si>
  <si>
    <t>Weight</t>
  </si>
  <si>
    <t>Conversion Calculator Spreadsheet</t>
  </si>
  <si>
    <t>Length</t>
  </si>
  <si>
    <t>Liquid Volume</t>
  </si>
  <si>
    <t>Gas Volume</t>
  </si>
  <si>
    <t>Days to Year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</si>
</sst>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_(* #,##0.0_);_(* \(#,##0.0\);_(* &quot;-&quot;??_);_(@_)"/>
    <numFmt numFmtId="167" formatCode="_(* #,##0_);_(* \(#,##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2" fontId="1" fillId="2" borderId="1" xfId="0" applyNumberFormat="1" applyFont="1" applyFill="1" applyBorder="1" applyAlignment="1" applyProtection="1">
      <alignment/>
      <protection locked="0"/>
    </xf>
    <xf numFmtId="0" fontId="1" fillId="2" borderId="1" xfId="0" applyFont="1" applyFill="1" applyBorder="1" applyAlignment="1" applyProtection="1">
      <alignment/>
      <protection locked="0"/>
    </xf>
    <xf numFmtId="0" fontId="0" fillId="0" borderId="2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 quotePrefix="1">
      <alignment horizontal="center"/>
    </xf>
    <xf numFmtId="2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Border="1" applyAlignment="1" quotePrefix="1">
      <alignment horizontal="center"/>
    </xf>
    <xf numFmtId="0" fontId="1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Border="1" applyAlignment="1" quotePrefix="1">
      <alignment horizontal="center"/>
    </xf>
    <xf numFmtId="164" fontId="0" fillId="2" borderId="1" xfId="0" applyNumberFormat="1" applyFont="1" applyFill="1" applyBorder="1" applyAlignment="1" applyProtection="1">
      <alignment/>
      <protection locked="0"/>
    </xf>
    <xf numFmtId="164" fontId="0" fillId="0" borderId="3" xfId="0" applyNumberFormat="1" applyFont="1" applyBorder="1" applyAlignment="1">
      <alignment/>
    </xf>
    <xf numFmtId="164" fontId="0" fillId="0" borderId="3" xfId="0" applyNumberFormat="1" applyBorder="1" applyAlignment="1" quotePrefix="1">
      <alignment horizontal="center"/>
    </xf>
    <xf numFmtId="164" fontId="0" fillId="0" borderId="6" xfId="0" applyNumberFormat="1" applyFont="1" applyBorder="1" applyAlignment="1">
      <alignment/>
    </xf>
    <xf numFmtId="164" fontId="2" fillId="2" borderId="1" xfId="0" applyNumberFormat="1" applyFont="1" applyFill="1" applyBorder="1" applyAlignment="1" applyProtection="1">
      <alignment/>
      <protection locked="0"/>
    </xf>
    <xf numFmtId="43" fontId="0" fillId="0" borderId="0" xfId="15" applyFont="1" applyBorder="1" applyAlignment="1">
      <alignment/>
    </xf>
    <xf numFmtId="167" fontId="0" fillId="0" borderId="3" xfId="15" applyNumberFormat="1" applyFont="1" applyBorder="1" applyAlignment="1">
      <alignment/>
    </xf>
    <xf numFmtId="164" fontId="0" fillId="2" borderId="7" xfId="0" applyNumberFormat="1" applyFont="1" applyFill="1" applyBorder="1" applyAlignment="1" applyProtection="1">
      <alignment/>
      <protection locked="0"/>
    </xf>
    <xf numFmtId="164" fontId="0" fillId="2" borderId="8" xfId="0" applyNumberFormat="1" applyFont="1" applyFill="1" applyBorder="1" applyAlignment="1" applyProtection="1">
      <alignment/>
      <protection locked="0"/>
    </xf>
    <xf numFmtId="164" fontId="0" fillId="0" borderId="5" xfId="0" applyNumberFormat="1" applyBorder="1" applyAlignment="1" quotePrefix="1">
      <alignment horizontal="center"/>
    </xf>
    <xf numFmtId="167" fontId="0" fillId="0" borderId="0" xfId="15" applyNumberFormat="1" applyFont="1" applyBorder="1" applyAlignment="1">
      <alignment/>
    </xf>
    <xf numFmtId="167" fontId="0" fillId="0" borderId="6" xfId="15" applyNumberFormat="1" applyFont="1" applyBorder="1" applyAlignment="1">
      <alignment/>
    </xf>
    <xf numFmtId="164" fontId="3" fillId="2" borderId="7" xfId="0" applyNumberFormat="1" applyFont="1" applyFill="1" applyBorder="1" applyAlignment="1" applyProtection="1">
      <alignment/>
      <protection locked="0"/>
    </xf>
    <xf numFmtId="164" fontId="3" fillId="2" borderId="8" xfId="0" applyNumberFormat="1" applyFont="1" applyFill="1" applyBorder="1" applyAlignment="1" applyProtection="1">
      <alignment/>
      <protection locked="0"/>
    </xf>
    <xf numFmtId="1" fontId="0" fillId="0" borderId="6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164" fontId="0" fillId="0" borderId="3" xfId="0" applyNumberFormat="1" applyFont="1" applyBorder="1" applyAlignment="1">
      <alignment horizontal="right"/>
    </xf>
    <xf numFmtId="164" fontId="0" fillId="0" borderId="6" xfId="0" applyNumberFormat="1" applyFont="1" applyBorder="1" applyAlignment="1">
      <alignment horizontal="right"/>
    </xf>
    <xf numFmtId="164" fontId="2" fillId="2" borderId="7" xfId="0" applyNumberFormat="1" applyFont="1" applyFill="1" applyBorder="1" applyAlignment="1" applyProtection="1">
      <alignment/>
      <protection locked="0"/>
    </xf>
    <xf numFmtId="164" fontId="2" fillId="2" borderId="8" xfId="0" applyNumberFormat="1" applyFont="1" applyFill="1" applyBorder="1" applyAlignment="1" applyProtection="1">
      <alignment/>
      <protection locked="0"/>
    </xf>
    <xf numFmtId="164" fontId="1" fillId="2" borderId="1" xfId="0" applyNumberFormat="1" applyFont="1" applyFill="1" applyBorder="1" applyAlignment="1" applyProtection="1">
      <alignment/>
      <protection locked="0"/>
    </xf>
    <xf numFmtId="164" fontId="1" fillId="2" borderId="9" xfId="0" applyNumberFormat="1" applyFont="1" applyFill="1" applyBorder="1" applyAlignment="1" applyProtection="1">
      <alignment/>
      <protection locked="0"/>
    </xf>
    <xf numFmtId="1" fontId="0" fillId="2" borderId="7" xfId="0" applyNumberFormat="1" applyFont="1" applyFill="1" applyBorder="1" applyAlignment="1" applyProtection="1">
      <alignment/>
      <protection locked="0"/>
    </xf>
    <xf numFmtId="1" fontId="0" fillId="2" borderId="8" xfId="0" applyNumberFormat="1" applyFont="1" applyFill="1" applyBorder="1" applyAlignment="1" applyProtection="1">
      <alignment/>
      <protection locked="0"/>
    </xf>
    <xf numFmtId="1" fontId="0" fillId="0" borderId="0" xfId="0" applyNumberFormat="1" applyBorder="1" applyAlignment="1" quotePrefix="1">
      <alignment horizontal="center"/>
    </xf>
    <xf numFmtId="1" fontId="0" fillId="0" borderId="3" xfId="0" applyNumberFormat="1" applyFont="1" applyBorder="1" applyAlignment="1">
      <alignment/>
    </xf>
    <xf numFmtId="1" fontId="0" fillId="0" borderId="5" xfId="0" applyNumberFormat="1" applyBorder="1" applyAlignment="1" quotePrefix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91"/>
  <sheetViews>
    <sheetView tabSelected="1" workbookViewId="0" topLeftCell="A1">
      <selection activeCell="J8" sqref="J8"/>
    </sheetView>
  </sheetViews>
  <sheetFormatPr defaultColWidth="9.140625" defaultRowHeight="12.75"/>
  <cols>
    <col min="1" max="1" width="2.421875" style="0" customWidth="1"/>
    <col min="2" max="2" width="21.140625" style="0" customWidth="1"/>
    <col min="3" max="4" width="12.7109375" style="0" customWidth="1"/>
    <col min="5" max="5" width="13.140625" style="0" customWidth="1"/>
    <col min="6" max="6" width="13.421875" style="0" customWidth="1"/>
    <col min="7" max="9" width="12.7109375" style="0" customWidth="1"/>
  </cols>
  <sheetData>
    <row r="1" spans="2:8" ht="15.75">
      <c r="B1" s="56" t="s">
        <v>67</v>
      </c>
      <c r="C1" s="56"/>
      <c r="D1" s="56"/>
      <c r="E1" s="56"/>
      <c r="F1" s="56"/>
      <c r="G1" s="56"/>
      <c r="H1" s="56"/>
    </row>
    <row r="3" ht="13.5" thickBot="1"/>
    <row r="4" spans="2:8" ht="12.75">
      <c r="B4" s="53" t="s">
        <v>5</v>
      </c>
      <c r="C4" s="54"/>
      <c r="D4" s="54"/>
      <c r="E4" s="54"/>
      <c r="F4" s="54"/>
      <c r="G4" s="54"/>
      <c r="H4" s="55"/>
    </row>
    <row r="5" spans="2:8" ht="12.75">
      <c r="B5" s="23"/>
      <c r="C5" s="5"/>
      <c r="D5" s="5"/>
      <c r="E5" s="5"/>
      <c r="F5" s="5"/>
      <c r="G5" s="5"/>
      <c r="H5" s="12"/>
    </row>
    <row r="6" spans="2:8" ht="12.75">
      <c r="B6" s="23"/>
      <c r="C6" s="5"/>
      <c r="D6" s="5" t="s">
        <v>0</v>
      </c>
      <c r="E6" s="5" t="s">
        <v>1</v>
      </c>
      <c r="F6" s="5" t="s">
        <v>2</v>
      </c>
      <c r="G6" s="5" t="s">
        <v>2</v>
      </c>
      <c r="H6" s="12" t="s">
        <v>2</v>
      </c>
    </row>
    <row r="7" spans="2:8" ht="13.5" thickBot="1">
      <c r="B7" s="11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12" t="s">
        <v>9</v>
      </c>
    </row>
    <row r="8" spans="2:8" ht="13.5" thickBot="1">
      <c r="B8" s="18" t="s">
        <v>10</v>
      </c>
      <c r="C8" s="33">
        <v>1</v>
      </c>
      <c r="D8" s="33">
        <v>1</v>
      </c>
      <c r="E8" s="33">
        <v>1</v>
      </c>
      <c r="F8" s="33">
        <v>1</v>
      </c>
      <c r="G8" s="33">
        <v>1</v>
      </c>
      <c r="H8" s="34">
        <v>1</v>
      </c>
    </row>
    <row r="9" spans="2:8" ht="12.75">
      <c r="B9" s="15" t="s">
        <v>4</v>
      </c>
      <c r="C9" s="8" t="s">
        <v>63</v>
      </c>
      <c r="D9" s="24">
        <f>141.5/D8-131.5</f>
        <v>10</v>
      </c>
      <c r="E9" s="36">
        <f>349.78*141.5/E8-131.5</f>
        <v>49362.369999999995</v>
      </c>
      <c r="F9" s="36">
        <f>141.5/(F8*349.78/2000)-131.5</f>
        <v>677.5799931385443</v>
      </c>
      <c r="G9" s="36">
        <f>141.5/(G8*349.78/2204.6)-131.5</f>
        <v>760.3488764366174</v>
      </c>
      <c r="H9" s="32">
        <f>141.5/(H8*349.78/2240)-131.5</f>
        <v>774.6695923151697</v>
      </c>
    </row>
    <row r="10" spans="2:8" ht="12.75">
      <c r="B10" s="15" t="s">
        <v>11</v>
      </c>
      <c r="C10" s="24">
        <f>141.5/(C8+131.5)</f>
        <v>1.0679245283018868</v>
      </c>
      <c r="D10" s="25" t="s">
        <v>63</v>
      </c>
      <c r="E10" s="24">
        <f>E8/349.78</f>
        <v>0.0028589399050831955</v>
      </c>
      <c r="F10" s="24">
        <f>F8*349.78/2000</f>
        <v>0.17489</v>
      </c>
      <c r="G10" s="24">
        <f>G8*349.78/2204.6</f>
        <v>0.15865916719586318</v>
      </c>
      <c r="H10" s="27">
        <f>H8*349.78/2240</f>
        <v>0.1561517857142857</v>
      </c>
    </row>
    <row r="11" spans="2:8" ht="12.75">
      <c r="B11" s="15" t="s">
        <v>12</v>
      </c>
      <c r="C11" s="24">
        <f>349.78*141.5/(C8+131.5)</f>
        <v>373.53864150943394</v>
      </c>
      <c r="D11" s="24">
        <f>D8*349.78</f>
        <v>349.78</v>
      </c>
      <c r="E11" s="8" t="s">
        <v>63</v>
      </c>
      <c r="F11" s="36">
        <f>2000/F8</f>
        <v>2000</v>
      </c>
      <c r="G11" s="36">
        <f>2204.6/G8</f>
        <v>2204.6</v>
      </c>
      <c r="H11" s="32">
        <f>2240/H8</f>
        <v>2240</v>
      </c>
    </row>
    <row r="12" spans="2:8" ht="12.75">
      <c r="B12" s="15" t="s">
        <v>13</v>
      </c>
      <c r="C12" s="24">
        <f>2000/(349.78*141.5/(C8+131.5))</f>
        <v>5.354198408813051</v>
      </c>
      <c r="D12" s="24">
        <f>2000/(D8*349.78)</f>
        <v>5.717879810166391</v>
      </c>
      <c r="E12" s="36">
        <f>2000/E8</f>
        <v>2000</v>
      </c>
      <c r="F12" s="8" t="s">
        <v>63</v>
      </c>
      <c r="G12" s="24">
        <f>(2000/2204.6)*G8</f>
        <v>0.9071940488070399</v>
      </c>
      <c r="H12" s="27">
        <f>(2000/2240)*H8</f>
        <v>0.8928571428571429</v>
      </c>
    </row>
    <row r="13" spans="2:8" ht="12.75">
      <c r="B13" s="15" t="s">
        <v>14</v>
      </c>
      <c r="C13" s="24">
        <f>2204.6/(349.78*141.5/(C8+131.5))</f>
        <v>5.901932906034626</v>
      </c>
      <c r="D13" s="24">
        <f>2204.6/(D8*349.78)</f>
        <v>6.302818914746412</v>
      </c>
      <c r="E13" s="36">
        <f>2204.6/E8</f>
        <v>2204.6</v>
      </c>
      <c r="F13" s="24">
        <f>(2204.6/2000)*F8</f>
        <v>1.1023</v>
      </c>
      <c r="G13" s="25" t="s">
        <v>63</v>
      </c>
      <c r="H13" s="27">
        <f>(2204.6/2240)*H8</f>
        <v>0.9841964285714285</v>
      </c>
    </row>
    <row r="14" spans="2:8" ht="13.5" thickBot="1">
      <c r="B14" s="16" t="s">
        <v>15</v>
      </c>
      <c r="C14" s="29">
        <f>2240/(349.78*141.5/(C8+131.5))</f>
        <v>5.9967022178706175</v>
      </c>
      <c r="D14" s="29">
        <f>2240/(D8*349.78)</f>
        <v>6.4040253873863575</v>
      </c>
      <c r="E14" s="37">
        <f>2240/E8</f>
        <v>2240</v>
      </c>
      <c r="F14" s="29">
        <f>(2240/2000)*F8</f>
        <v>1.12</v>
      </c>
      <c r="G14" s="29">
        <f>(2240/2204.6)*G8</f>
        <v>1.0160573346638846</v>
      </c>
      <c r="H14" s="35" t="s">
        <v>63</v>
      </c>
    </row>
    <row r="15" ht="13.5" thickBot="1"/>
    <row r="16" spans="2:8" ht="12.75">
      <c r="B16" s="53" t="s">
        <v>66</v>
      </c>
      <c r="C16" s="54"/>
      <c r="D16" s="54"/>
      <c r="E16" s="54"/>
      <c r="F16" s="54"/>
      <c r="G16" s="54"/>
      <c r="H16" s="55"/>
    </row>
    <row r="17" spans="2:8" ht="12.75">
      <c r="B17" s="23"/>
      <c r="C17" s="5"/>
      <c r="D17" s="5"/>
      <c r="E17" s="5"/>
      <c r="F17" s="5"/>
      <c r="G17" s="5"/>
      <c r="H17" s="12"/>
    </row>
    <row r="18" spans="2:8" ht="13.5" thickBot="1">
      <c r="B18" s="11" t="s">
        <v>3</v>
      </c>
      <c r="C18" s="5" t="s">
        <v>16</v>
      </c>
      <c r="D18" s="5" t="s">
        <v>17</v>
      </c>
      <c r="E18" s="5" t="s">
        <v>18</v>
      </c>
      <c r="F18" s="5" t="s">
        <v>19</v>
      </c>
      <c r="G18" s="5" t="s">
        <v>20</v>
      </c>
      <c r="H18" s="12" t="s">
        <v>21</v>
      </c>
    </row>
    <row r="19" spans="2:8" ht="13.5" thickBot="1">
      <c r="B19" s="13" t="s">
        <v>10</v>
      </c>
      <c r="C19" s="38">
        <v>1</v>
      </c>
      <c r="D19" s="38">
        <v>1</v>
      </c>
      <c r="E19" s="38">
        <v>1</v>
      </c>
      <c r="F19" s="38">
        <v>1</v>
      </c>
      <c r="G19" s="38">
        <v>1</v>
      </c>
      <c r="H19" s="39">
        <v>1</v>
      </c>
    </row>
    <row r="20" spans="2:11" ht="12.75">
      <c r="B20" s="15" t="s">
        <v>16</v>
      </c>
      <c r="C20" s="8" t="s">
        <v>63</v>
      </c>
      <c r="D20" s="36">
        <f>D19*2000</f>
        <v>2000</v>
      </c>
      <c r="E20" s="36">
        <f>E19*2205</f>
        <v>2205</v>
      </c>
      <c r="F20" s="36">
        <f>F19*2240</f>
        <v>2240</v>
      </c>
      <c r="G20" s="36">
        <f>G19*349.78</f>
        <v>349.78</v>
      </c>
      <c r="H20" s="27">
        <f>H19*2.20462</f>
        <v>2.20462</v>
      </c>
      <c r="K20" s="1"/>
    </row>
    <row r="21" spans="2:8" ht="12.75">
      <c r="B21" s="15" t="s">
        <v>17</v>
      </c>
      <c r="C21" s="24">
        <f>C19/2000</f>
        <v>0.0005</v>
      </c>
      <c r="D21" s="25" t="s">
        <v>63</v>
      </c>
      <c r="E21" s="24">
        <f>E19*2205/2000</f>
        <v>1.1025</v>
      </c>
      <c r="F21" s="24">
        <f>F19*2240/2000</f>
        <v>1.12</v>
      </c>
      <c r="G21" s="24">
        <f>G19*349.78/2000</f>
        <v>0.17489</v>
      </c>
      <c r="H21" s="27">
        <f>H19*2.20462/2000</f>
        <v>0.00110231</v>
      </c>
    </row>
    <row r="22" spans="2:8" ht="12.75">
      <c r="B22" s="15" t="s">
        <v>18</v>
      </c>
      <c r="C22" s="24">
        <f>C19/2205</f>
        <v>0.00045351473922902497</v>
      </c>
      <c r="D22" s="24">
        <f>D19*2000/2205</f>
        <v>0.9070294784580499</v>
      </c>
      <c r="E22" s="25" t="s">
        <v>63</v>
      </c>
      <c r="F22" s="24">
        <f>F19*2240/2205</f>
        <v>1.0158730158730158</v>
      </c>
      <c r="G22" s="24">
        <f>G19*349.78/2205</f>
        <v>0.15863038548752834</v>
      </c>
      <c r="H22" s="27">
        <f>H19*2.20462/2205</f>
        <v>0.0009998276643990928</v>
      </c>
    </row>
    <row r="23" spans="2:8" ht="12.75">
      <c r="B23" s="15" t="s">
        <v>19</v>
      </c>
      <c r="C23" s="24">
        <f>C19/2240</f>
        <v>0.0004464285714285714</v>
      </c>
      <c r="D23" s="24">
        <f>D19*2000/2240</f>
        <v>0.8928571428571429</v>
      </c>
      <c r="E23" s="24">
        <f>E19*2205/2240</f>
        <v>0.984375</v>
      </c>
      <c r="F23" s="25" t="s">
        <v>63</v>
      </c>
      <c r="G23" s="24">
        <f>G19*349.78/2240</f>
        <v>0.1561517857142857</v>
      </c>
      <c r="H23" s="27">
        <f>H19*2.20462/2240</f>
        <v>0.000984205357142857</v>
      </c>
    </row>
    <row r="24" spans="2:8" ht="12.75">
      <c r="B24" s="15" t="s">
        <v>20</v>
      </c>
      <c r="C24" s="24">
        <f>C19/349.78</f>
        <v>0.0028589399050831955</v>
      </c>
      <c r="D24" s="24">
        <f>D19*2000/349.78</f>
        <v>5.717879810166391</v>
      </c>
      <c r="E24" s="24">
        <f>E19*2205/349.78</f>
        <v>6.303962490708446</v>
      </c>
      <c r="F24" s="24">
        <f>F19*2240/349.78</f>
        <v>6.4040253873863575</v>
      </c>
      <c r="G24" s="25" t="s">
        <v>63</v>
      </c>
      <c r="H24" s="27">
        <f>H19*2.20462/349.78</f>
        <v>0.006302876093544514</v>
      </c>
    </row>
    <row r="25" spans="2:8" ht="13.5" thickBot="1">
      <c r="B25" s="16" t="s">
        <v>21</v>
      </c>
      <c r="C25" s="29">
        <f>C19/2.20462</f>
        <v>0.45359290943563974</v>
      </c>
      <c r="D25" s="37">
        <f>D19*2000/2.20462</f>
        <v>907.1858188712795</v>
      </c>
      <c r="E25" s="37">
        <f>E19*2205/2.20462</f>
        <v>1000.1723653055857</v>
      </c>
      <c r="F25" s="37">
        <f>F19*2240/2.20462</f>
        <v>1016.048117135833</v>
      </c>
      <c r="G25" s="37">
        <f>G19*349.78/2.20462</f>
        <v>158.65772786239805</v>
      </c>
      <c r="H25" s="35" t="s">
        <v>63</v>
      </c>
    </row>
    <row r="26" ht="13.5" thickBot="1"/>
    <row r="27" spans="1:8" ht="12.75">
      <c r="A27" s="10"/>
      <c r="B27" s="53" t="s">
        <v>69</v>
      </c>
      <c r="C27" s="54"/>
      <c r="D27" s="54"/>
      <c r="E27" s="55"/>
      <c r="F27" s="10"/>
      <c r="G27" s="10"/>
      <c r="H27" s="10"/>
    </row>
    <row r="28" spans="2:5" ht="12.75">
      <c r="B28" s="23"/>
      <c r="C28" s="5"/>
      <c r="D28" s="5"/>
      <c r="E28" s="12"/>
    </row>
    <row r="29" spans="2:5" ht="13.5" thickBot="1">
      <c r="B29" s="11" t="s">
        <v>3</v>
      </c>
      <c r="C29" s="5" t="s">
        <v>20</v>
      </c>
      <c r="D29" s="5" t="s">
        <v>22</v>
      </c>
      <c r="E29" s="12" t="s">
        <v>23</v>
      </c>
    </row>
    <row r="30" spans="2:5" ht="13.5" thickBot="1">
      <c r="B30" s="13" t="s">
        <v>10</v>
      </c>
      <c r="C30" s="38">
        <v>1</v>
      </c>
      <c r="D30" s="38">
        <v>1</v>
      </c>
      <c r="E30" s="39">
        <v>1</v>
      </c>
    </row>
    <row r="31" spans="2:5" ht="12.75">
      <c r="B31" s="14" t="s">
        <v>20</v>
      </c>
      <c r="C31" s="8" t="s">
        <v>63</v>
      </c>
      <c r="D31" s="41">
        <f>D30/42</f>
        <v>0.023809523809523808</v>
      </c>
      <c r="E31" s="42">
        <f>E30/0.159</f>
        <v>6.289308176100628</v>
      </c>
    </row>
    <row r="32" spans="2:5" ht="12.75">
      <c r="B32" s="15" t="s">
        <v>22</v>
      </c>
      <c r="C32" s="41">
        <f>C30*42</f>
        <v>42</v>
      </c>
      <c r="D32" s="25" t="s">
        <v>63</v>
      </c>
      <c r="E32" s="42">
        <f>E30*1000/3.79</f>
        <v>263.85224274406335</v>
      </c>
    </row>
    <row r="33" spans="2:5" ht="13.5" thickBot="1">
      <c r="B33" s="16" t="s">
        <v>23</v>
      </c>
      <c r="C33" s="43">
        <f>C30*0.159</f>
        <v>0.159</v>
      </c>
      <c r="D33" s="43">
        <f>D30*3.79/1000</f>
        <v>0.00379</v>
      </c>
      <c r="E33" s="35" t="s">
        <v>63</v>
      </c>
    </row>
    <row r="34" ht="13.5" thickBot="1"/>
    <row r="35" spans="2:5" ht="12.75">
      <c r="B35" s="53" t="s">
        <v>70</v>
      </c>
      <c r="C35" s="54"/>
      <c r="D35" s="54"/>
      <c r="E35" s="55"/>
    </row>
    <row r="36" spans="2:5" ht="12.75">
      <c r="B36" s="23"/>
      <c r="C36" s="5"/>
      <c r="D36" s="5"/>
      <c r="E36" s="12"/>
    </row>
    <row r="37" spans="2:5" ht="13.5" thickBot="1">
      <c r="B37" s="23" t="s">
        <v>3</v>
      </c>
      <c r="C37" s="5" t="s">
        <v>24</v>
      </c>
      <c r="D37" s="5" t="s">
        <v>25</v>
      </c>
      <c r="E37" s="12" t="s">
        <v>26</v>
      </c>
    </row>
    <row r="38" spans="2:5" ht="13.5" thickBot="1">
      <c r="B38" s="13" t="s">
        <v>10</v>
      </c>
      <c r="C38" s="44">
        <v>1</v>
      </c>
      <c r="D38" s="44">
        <v>1</v>
      </c>
      <c r="E38" s="45">
        <v>1</v>
      </c>
    </row>
    <row r="39" spans="2:5" ht="12.75">
      <c r="B39" s="15" t="s">
        <v>24</v>
      </c>
      <c r="C39" s="8" t="s">
        <v>63</v>
      </c>
      <c r="D39" s="24">
        <f>D38/35.315</f>
        <v>0.02831657935721365</v>
      </c>
      <c r="E39" s="27">
        <f>E38/0.03532</f>
        <v>28.312570781426956</v>
      </c>
    </row>
    <row r="40" spans="2:5" ht="12.75">
      <c r="B40" s="15" t="s">
        <v>25</v>
      </c>
      <c r="C40" s="24">
        <f>C38*35.315</f>
        <v>35.315</v>
      </c>
      <c r="D40" s="25" t="s">
        <v>63</v>
      </c>
      <c r="E40" s="32">
        <f>E38*1000</f>
        <v>1000</v>
      </c>
    </row>
    <row r="41" spans="2:5" ht="13.5" thickBot="1">
      <c r="B41" s="16" t="s">
        <v>26</v>
      </c>
      <c r="C41" s="29">
        <f>C38*0.03532</f>
        <v>0.03532</v>
      </c>
      <c r="D41" s="29">
        <f>D38*0.001</f>
        <v>0.001</v>
      </c>
      <c r="E41" s="17" t="s">
        <v>63</v>
      </c>
    </row>
    <row r="42" ht="13.5" thickBot="1"/>
    <row r="43" spans="2:6" ht="12.75">
      <c r="B43" s="53" t="s">
        <v>71</v>
      </c>
      <c r="C43" s="54"/>
      <c r="D43" s="54"/>
      <c r="E43" s="54"/>
      <c r="F43" s="55"/>
    </row>
    <row r="44" spans="2:6" ht="12.75">
      <c r="B44" s="23"/>
      <c r="C44" s="5"/>
      <c r="D44" s="5"/>
      <c r="E44" s="5"/>
      <c r="F44" s="12"/>
    </row>
    <row r="45" spans="2:6" ht="12.75">
      <c r="B45" s="23"/>
      <c r="C45" s="5" t="s">
        <v>27</v>
      </c>
      <c r="D45" s="5" t="s">
        <v>28</v>
      </c>
      <c r="E45" s="5" t="s">
        <v>29</v>
      </c>
      <c r="F45" s="12" t="s">
        <v>30</v>
      </c>
    </row>
    <row r="46" spans="2:6" ht="13.5" thickBot="1">
      <c r="B46" s="11" t="s">
        <v>3</v>
      </c>
      <c r="C46" s="5" t="s">
        <v>31</v>
      </c>
      <c r="D46" s="5" t="s">
        <v>32</v>
      </c>
      <c r="E46" s="5" t="s">
        <v>33</v>
      </c>
      <c r="F46" s="12" t="s">
        <v>33</v>
      </c>
    </row>
    <row r="47" spans="2:6" ht="13.5" thickBot="1">
      <c r="B47" s="18" t="s">
        <v>10</v>
      </c>
      <c r="C47" s="26">
        <v>1</v>
      </c>
      <c r="D47" s="26">
        <v>1</v>
      </c>
      <c r="E47" s="26">
        <v>1</v>
      </c>
      <c r="F47" s="26">
        <v>1</v>
      </c>
    </row>
    <row r="48" spans="2:6" ht="12.75">
      <c r="B48" s="15" t="s">
        <v>34</v>
      </c>
      <c r="C48" s="8" t="s">
        <v>63</v>
      </c>
      <c r="D48" s="24">
        <f>D47*1000/C56</f>
        <v>2.73972602739726</v>
      </c>
      <c r="E48" s="24">
        <f>E47*C58*2000*1000/(2205*C56)</f>
        <v>18.101037784252963</v>
      </c>
      <c r="F48" s="27">
        <f>F47*C58*1000/C56</f>
        <v>19.956394157138888</v>
      </c>
    </row>
    <row r="49" spans="2:6" ht="12.75">
      <c r="B49" s="15" t="s">
        <v>35</v>
      </c>
      <c r="C49" s="24">
        <f>C47*C56/1000</f>
        <v>0.365</v>
      </c>
      <c r="D49" s="25" t="s">
        <v>63</v>
      </c>
      <c r="E49" s="24">
        <f>E47*C58*2000/2205</f>
        <v>6.60687879125233</v>
      </c>
      <c r="F49" s="27">
        <f>F47*C58</f>
        <v>7.284083867355695</v>
      </c>
    </row>
    <row r="50" spans="2:6" ht="12.75">
      <c r="B50" s="15" t="s">
        <v>36</v>
      </c>
      <c r="C50" s="24">
        <f>C47*C56*2205/(C58*2000*1000)</f>
        <v>0.055245451223241586</v>
      </c>
      <c r="D50" s="24">
        <f>D47*2205/(C58*2000)</f>
        <v>0.1513574006116208</v>
      </c>
      <c r="E50" s="25" t="s">
        <v>63</v>
      </c>
      <c r="F50" s="27">
        <f>F47*2205/2000</f>
        <v>1.1025</v>
      </c>
    </row>
    <row r="51" spans="2:6" ht="12.75">
      <c r="B51" s="15" t="s">
        <v>37</v>
      </c>
      <c r="C51" s="24">
        <f>C47*C56/(C58*1000)</f>
        <v>0.05010925281019645</v>
      </c>
      <c r="D51" s="24">
        <f>D47/C58</f>
        <v>0.13728562413752454</v>
      </c>
      <c r="E51" s="24">
        <f>E47*2000/2205</f>
        <v>0.9070294784580499</v>
      </c>
      <c r="F51" s="28" t="s">
        <v>63</v>
      </c>
    </row>
    <row r="52" spans="2:6" ht="12.75">
      <c r="B52" s="15" t="s">
        <v>38</v>
      </c>
      <c r="C52" s="24">
        <f>C47*C56*2205/(C58*2240*(1000))</f>
        <v>0.049326295735037134</v>
      </c>
      <c r="D52" s="24">
        <f>D47*2205/(C58*2240)</f>
        <v>0.13514053626037573</v>
      </c>
      <c r="E52" s="24">
        <f>E47*2000/2240</f>
        <v>0.8928571428571429</v>
      </c>
      <c r="F52" s="27">
        <f>F47*2205/2240</f>
        <v>0.984375</v>
      </c>
    </row>
    <row r="53" spans="2:6" ht="12.75">
      <c r="B53" s="15" t="s">
        <v>39</v>
      </c>
      <c r="C53" s="24">
        <f>C47*C56/(6.29*1000)</f>
        <v>0.05802861685214626</v>
      </c>
      <c r="D53" s="24">
        <f>D47/6.29</f>
        <v>0.1589825119236884</v>
      </c>
      <c r="E53" s="24">
        <f>E49/6.29</f>
        <v>1.0503781862086377</v>
      </c>
      <c r="F53" s="27">
        <f>F49/6.29</f>
        <v>1.158041950295023</v>
      </c>
    </row>
    <row r="54" spans="2:6" ht="12.75">
      <c r="B54" s="15" t="s">
        <v>40</v>
      </c>
      <c r="C54" s="24">
        <f>C47/(0.17811*1000000)</f>
        <v>5.614507888383583E-06</v>
      </c>
      <c r="D54" s="24">
        <f>D47/(0.17811*1000*C56)</f>
        <v>1.5382213392831735E-05</v>
      </c>
      <c r="E54" s="24">
        <f>E49/(0.17811*1000*C56)</f>
        <v>0.00010162841942761755</v>
      </c>
      <c r="F54" s="27">
        <f>F49/(0.17811*1000*C56)</f>
        <v>0.00011204533241894835</v>
      </c>
    </row>
    <row r="55" spans="2:6" ht="13.5" thickBot="1">
      <c r="B55" s="15" t="s">
        <v>41</v>
      </c>
      <c r="C55" s="24">
        <f>C54*C56/1000</f>
        <v>2.049295379260008E-06</v>
      </c>
      <c r="D55" s="24">
        <f>D54*C56/1000</f>
        <v>5.614507888383583E-06</v>
      </c>
      <c r="E55" s="24">
        <f>E54*C56/1000</f>
        <v>3.7094373091080404E-05</v>
      </c>
      <c r="F55" s="27">
        <f>F54*C56/1000</f>
        <v>4.089654633291615E-05</v>
      </c>
    </row>
    <row r="56" spans="2:6" ht="13.5" thickBot="1">
      <c r="B56" s="18" t="s">
        <v>42</v>
      </c>
      <c r="C56" s="3">
        <v>365</v>
      </c>
      <c r="D56" s="7"/>
      <c r="E56" s="7"/>
      <c r="F56" s="19"/>
    </row>
    <row r="57" spans="2:6" ht="13.5" thickBot="1">
      <c r="B57" s="18" t="s">
        <v>43</v>
      </c>
      <c r="C57" s="2">
        <v>32</v>
      </c>
      <c r="D57" s="7"/>
      <c r="E57" s="7"/>
      <c r="F57" s="19"/>
    </row>
    <row r="58" spans="2:6" ht="13.5" thickBot="1">
      <c r="B58" s="16" t="s">
        <v>14</v>
      </c>
      <c r="C58" s="29">
        <f>2205/(349.78*141.5/(C57+131.5))</f>
        <v>7.284083867355695</v>
      </c>
      <c r="D58" s="20"/>
      <c r="E58" s="20"/>
      <c r="F58" s="21"/>
    </row>
    <row r="59" ht="13.5" thickBot="1"/>
    <row r="60" spans="2:9" ht="12.75">
      <c r="B60" s="53" t="s">
        <v>68</v>
      </c>
      <c r="C60" s="54"/>
      <c r="D60" s="54"/>
      <c r="E60" s="54"/>
      <c r="F60" s="54"/>
      <c r="G60" s="54"/>
      <c r="H60" s="54"/>
      <c r="I60" s="55"/>
    </row>
    <row r="61" spans="2:9" ht="12.75">
      <c r="B61" s="4"/>
      <c r="C61" s="10"/>
      <c r="D61" s="10"/>
      <c r="E61" s="10"/>
      <c r="F61" s="10"/>
      <c r="G61" s="10"/>
      <c r="H61" s="10"/>
      <c r="I61" s="6"/>
    </row>
    <row r="62" spans="2:9" ht="13.5" thickBot="1">
      <c r="B62" s="11" t="s">
        <v>3</v>
      </c>
      <c r="C62" s="5" t="s">
        <v>44</v>
      </c>
      <c r="D62" s="5" t="s">
        <v>45</v>
      </c>
      <c r="E62" s="5" t="s">
        <v>46</v>
      </c>
      <c r="F62" s="5" t="s">
        <v>47</v>
      </c>
      <c r="G62" s="5" t="s">
        <v>48</v>
      </c>
      <c r="H62" s="5" t="s">
        <v>49</v>
      </c>
      <c r="I62" s="12" t="s">
        <v>50</v>
      </c>
    </row>
    <row r="63" spans="2:9" ht="13.5" thickBot="1">
      <c r="B63" s="13" t="s">
        <v>10</v>
      </c>
      <c r="C63" s="30">
        <v>1</v>
      </c>
      <c r="D63" s="30">
        <v>1</v>
      </c>
      <c r="E63" s="30">
        <v>1</v>
      </c>
      <c r="F63" s="30">
        <v>1</v>
      </c>
      <c r="G63" s="30">
        <v>1</v>
      </c>
      <c r="H63" s="30">
        <v>1</v>
      </c>
      <c r="I63" s="30">
        <v>1</v>
      </c>
    </row>
    <row r="64" spans="2:9" ht="12.75">
      <c r="B64" s="15" t="s">
        <v>44</v>
      </c>
      <c r="C64" s="8" t="s">
        <v>63</v>
      </c>
      <c r="D64" s="24">
        <f>D63*12</f>
        <v>12</v>
      </c>
      <c r="E64" s="24">
        <f>E63*36</f>
        <v>36</v>
      </c>
      <c r="F64" s="31">
        <f>F63*12*5280</f>
        <v>63360</v>
      </c>
      <c r="G64" s="31">
        <f>G63*12*6080</f>
        <v>72960</v>
      </c>
      <c r="H64" s="24">
        <f>H63/0.0254</f>
        <v>39.37007874015748</v>
      </c>
      <c r="I64" s="32">
        <f>I63/0.0254*1000</f>
        <v>39370.07874015748</v>
      </c>
    </row>
    <row r="65" spans="2:9" ht="12.75">
      <c r="B65" s="15" t="s">
        <v>45</v>
      </c>
      <c r="C65" s="24">
        <f>C63/12</f>
        <v>0.08333333333333333</v>
      </c>
      <c r="D65" s="25" t="s">
        <v>63</v>
      </c>
      <c r="E65" s="24">
        <f>E63*3</f>
        <v>3</v>
      </c>
      <c r="F65" s="31">
        <f>F63*5280</f>
        <v>5280</v>
      </c>
      <c r="G65" s="31">
        <f>G63*6080</f>
        <v>6080</v>
      </c>
      <c r="H65" s="24">
        <f>H63/0.305</f>
        <v>3.278688524590164</v>
      </c>
      <c r="I65" s="32">
        <f>I63/0.305*1000</f>
        <v>3278.688524590164</v>
      </c>
    </row>
    <row r="66" spans="2:9" ht="12.75">
      <c r="B66" s="15" t="s">
        <v>46</v>
      </c>
      <c r="C66" s="24">
        <f>C63/(12*3)</f>
        <v>0.027777777777777776</v>
      </c>
      <c r="D66" s="24">
        <f>D63/3</f>
        <v>0.3333333333333333</v>
      </c>
      <c r="E66" s="25" t="s">
        <v>63</v>
      </c>
      <c r="F66" s="31">
        <f>F63*5280/3</f>
        <v>1760</v>
      </c>
      <c r="G66" s="31">
        <f>G63*6080/3</f>
        <v>2026.6666666666667</v>
      </c>
      <c r="H66" s="24">
        <f>H63/0.914</f>
        <v>1.0940919037199124</v>
      </c>
      <c r="I66" s="32">
        <f>I63/0.914*1000</f>
        <v>1094.0919037199124</v>
      </c>
    </row>
    <row r="67" spans="2:9" ht="12.75">
      <c r="B67" s="15" t="s">
        <v>47</v>
      </c>
      <c r="C67" s="24">
        <f>C63/(12*5280)</f>
        <v>1.5782828282828283E-05</v>
      </c>
      <c r="D67" s="24">
        <f>D63/5280</f>
        <v>0.0001893939393939394</v>
      </c>
      <c r="E67" s="24">
        <f>E63/5280*3</f>
        <v>0.0005681818181818182</v>
      </c>
      <c r="F67" s="8" t="s">
        <v>63</v>
      </c>
      <c r="G67" s="24">
        <f>G63*6080/5280</f>
        <v>1.1515151515151516</v>
      </c>
      <c r="H67" s="24">
        <f>H63/(1.609*1000)</f>
        <v>0.0006215040397762585</v>
      </c>
      <c r="I67" s="27">
        <f>I63/1.609</f>
        <v>0.6215040397762586</v>
      </c>
    </row>
    <row r="68" spans="2:9" ht="12.75">
      <c r="B68" s="15" t="s">
        <v>48</v>
      </c>
      <c r="C68" s="24">
        <f>C63/(12*6080)</f>
        <v>1.3706140350877193E-05</v>
      </c>
      <c r="D68" s="24">
        <f>D63/6080</f>
        <v>0.0001644736842105263</v>
      </c>
      <c r="E68" s="24">
        <f>E63/6080*3</f>
        <v>0.000493421052631579</v>
      </c>
      <c r="F68" s="24">
        <f>F63*5280/6080</f>
        <v>0.868421052631579</v>
      </c>
      <c r="G68" s="8" t="s">
        <v>63</v>
      </c>
      <c r="H68" s="24">
        <f>H63/(1.609*1.15152*1000)</f>
        <v>0.0005397249199112986</v>
      </c>
      <c r="I68" s="27">
        <f>I63/(1.609*1.15152)</f>
        <v>0.5397249199112986</v>
      </c>
    </row>
    <row r="69" spans="2:9" ht="12.75">
      <c r="B69" s="15" t="s">
        <v>49</v>
      </c>
      <c r="C69" s="24">
        <f>C63*0.0254</f>
        <v>0.0254</v>
      </c>
      <c r="D69" s="24">
        <f>D63*0.305</f>
        <v>0.305</v>
      </c>
      <c r="E69" s="24">
        <f>E63*0.305*3</f>
        <v>0.915</v>
      </c>
      <c r="F69" s="31">
        <f>F63*1609</f>
        <v>1609</v>
      </c>
      <c r="G69" s="9">
        <f>G63*6080*0.305</f>
        <v>1854.3999999999999</v>
      </c>
      <c r="H69" s="8" t="s">
        <v>63</v>
      </c>
      <c r="I69" s="32">
        <f>I63*1000</f>
        <v>1000</v>
      </c>
    </row>
    <row r="70" spans="2:9" ht="13.5" thickBot="1">
      <c r="B70" s="16" t="s">
        <v>50</v>
      </c>
      <c r="C70" s="29">
        <f>C63*0.0254*0.001</f>
        <v>2.54E-05</v>
      </c>
      <c r="D70" s="29">
        <f>D63*0.305/1000</f>
        <v>0.000305</v>
      </c>
      <c r="E70" s="29">
        <f>E63*0.305/1000*3</f>
        <v>0.000915</v>
      </c>
      <c r="F70" s="29">
        <f>F63*1.609</f>
        <v>1.609</v>
      </c>
      <c r="G70" s="29">
        <f>G63*6080*0.305/1000</f>
        <v>1.8543999999999998</v>
      </c>
      <c r="H70" s="29">
        <f>H63/1000</f>
        <v>0.001</v>
      </c>
      <c r="I70" s="17" t="s">
        <v>63</v>
      </c>
    </row>
    <row r="71" ht="13.5" thickBot="1"/>
    <row r="72" spans="2:7" ht="12.75">
      <c r="B72" s="53" t="s">
        <v>65</v>
      </c>
      <c r="C72" s="54"/>
      <c r="D72" s="54"/>
      <c r="E72" s="54"/>
      <c r="F72" s="54"/>
      <c r="G72" s="55"/>
    </row>
    <row r="73" spans="2:7" ht="12.75">
      <c r="B73" s="4"/>
      <c r="C73" s="10"/>
      <c r="D73" s="10"/>
      <c r="E73" s="10"/>
      <c r="F73" s="10"/>
      <c r="G73" s="6"/>
    </row>
    <row r="74" spans="2:7" ht="12.75">
      <c r="B74" s="23"/>
      <c r="C74" s="5"/>
      <c r="D74" s="5"/>
      <c r="E74" s="5"/>
      <c r="F74" s="5" t="s">
        <v>28</v>
      </c>
      <c r="G74" s="12" t="s">
        <v>28</v>
      </c>
    </row>
    <row r="75" spans="2:7" ht="12.75">
      <c r="B75" s="15"/>
      <c r="C75" s="5" t="s">
        <v>51</v>
      </c>
      <c r="D75" s="7"/>
      <c r="E75" s="5" t="s">
        <v>28</v>
      </c>
      <c r="F75" s="5" t="s">
        <v>52</v>
      </c>
      <c r="G75" s="12" t="s">
        <v>8</v>
      </c>
    </row>
    <row r="76" spans="2:7" ht="13.5" thickBot="1">
      <c r="B76" s="11" t="s">
        <v>3</v>
      </c>
      <c r="C76" s="5" t="s">
        <v>53</v>
      </c>
      <c r="D76" s="5" t="s">
        <v>54</v>
      </c>
      <c r="E76" s="5" t="s">
        <v>55</v>
      </c>
      <c r="F76" s="5" t="s">
        <v>56</v>
      </c>
      <c r="G76" s="12" t="s">
        <v>56</v>
      </c>
    </row>
    <row r="77" spans="2:7" ht="13.5" thickBot="1">
      <c r="B77" s="18" t="s">
        <v>10</v>
      </c>
      <c r="C77" s="46">
        <v>1</v>
      </c>
      <c r="D77" s="46">
        <v>1</v>
      </c>
      <c r="E77" s="46">
        <v>1</v>
      </c>
      <c r="F77" s="47">
        <v>1</v>
      </c>
      <c r="G77" s="46">
        <v>1</v>
      </c>
    </row>
    <row r="78" spans="2:7" ht="12.75">
      <c r="B78" s="15" t="s">
        <v>57</v>
      </c>
      <c r="C78" s="8" t="s">
        <v>63</v>
      </c>
      <c r="D78" s="24">
        <f>D77*0.04/10000</f>
        <v>4E-06</v>
      </c>
      <c r="E78" s="24">
        <f>E77*0.04/397</f>
        <v>0.00010075566750629723</v>
      </c>
      <c r="F78" s="24">
        <f>F77*5.85</f>
        <v>5.85</v>
      </c>
      <c r="G78" s="27">
        <f>G77*0.04</f>
        <v>0.04</v>
      </c>
    </row>
    <row r="79" spans="2:7" ht="12.75">
      <c r="B79" s="15" t="s">
        <v>54</v>
      </c>
      <c r="C79" s="36">
        <f>C77*10000/0.04</f>
        <v>250000</v>
      </c>
      <c r="D79" s="25" t="s">
        <v>63</v>
      </c>
      <c r="E79" s="24">
        <f>E77*10000/397</f>
        <v>25.188916876574307</v>
      </c>
      <c r="F79" s="24">
        <f>F77*7.33/10000</f>
        <v>0.000733</v>
      </c>
      <c r="G79" s="32">
        <f>G77*10000</f>
        <v>10000</v>
      </c>
    </row>
    <row r="80" spans="2:7" ht="12.75">
      <c r="B80" s="15" t="s">
        <v>58</v>
      </c>
      <c r="C80" s="36">
        <f>C77*397/0.04</f>
        <v>9925</v>
      </c>
      <c r="D80" s="24">
        <f>D77*397/10000</f>
        <v>0.0397</v>
      </c>
      <c r="E80" s="25" t="s">
        <v>63</v>
      </c>
      <c r="F80" s="24">
        <f>F77*397/7.33</f>
        <v>54.160982264665755</v>
      </c>
      <c r="G80" s="32">
        <f>G77*397</f>
        <v>397</v>
      </c>
    </row>
    <row r="81" spans="2:7" ht="12.75">
      <c r="B81" s="15" t="s">
        <v>59</v>
      </c>
      <c r="C81" s="24">
        <f>C77/5.85</f>
        <v>0.17094017094017094</v>
      </c>
      <c r="D81" s="24">
        <f>D77/10000*C84</f>
        <v>0.0007350910324854372</v>
      </c>
      <c r="E81" s="24">
        <f>E77/397*C84</f>
        <v>0.01851614691399086</v>
      </c>
      <c r="F81" s="25" t="s">
        <v>63</v>
      </c>
      <c r="G81" s="27">
        <f>G77*C84</f>
        <v>7.350910324854372</v>
      </c>
    </row>
    <row r="82" spans="2:7" ht="13.5" thickBot="1">
      <c r="B82" s="15" t="s">
        <v>60</v>
      </c>
      <c r="C82" s="24">
        <f>C77/0.04</f>
        <v>25</v>
      </c>
      <c r="D82" s="24">
        <f>D77/10000</f>
        <v>0.0001</v>
      </c>
      <c r="E82" s="24">
        <f>E77/397</f>
        <v>0.0025188916876574307</v>
      </c>
      <c r="F82" s="24">
        <f>F77/C84</f>
        <v>0.13603757300900157</v>
      </c>
      <c r="G82" s="28" t="s">
        <v>63</v>
      </c>
    </row>
    <row r="83" spans="2:7" ht="13.5" thickBot="1">
      <c r="B83" s="18" t="s">
        <v>43</v>
      </c>
      <c r="C83" s="46">
        <v>33.5</v>
      </c>
      <c r="D83" s="7"/>
      <c r="E83" s="7"/>
      <c r="F83" s="7"/>
      <c r="G83" s="19"/>
    </row>
    <row r="84" spans="2:7" ht="13.5" thickBot="1">
      <c r="B84" s="22" t="s">
        <v>14</v>
      </c>
      <c r="C84" s="29">
        <f>2205/(349.78*(141.5/(C83+131.5)))</f>
        <v>7.350910324854372</v>
      </c>
      <c r="D84" s="20"/>
      <c r="E84" s="20"/>
      <c r="F84" s="20"/>
      <c r="G84" s="21"/>
    </row>
    <row r="85" ht="13.5" thickBot="1"/>
    <row r="86" spans="2:4" ht="12.75">
      <c r="B86" s="53" t="s">
        <v>64</v>
      </c>
      <c r="C86" s="54"/>
      <c r="D86" s="55"/>
    </row>
    <row r="87" spans="2:4" ht="12.75">
      <c r="B87" s="23"/>
      <c r="C87" s="5"/>
      <c r="D87" s="12"/>
    </row>
    <row r="88" spans="2:4" ht="13.5" thickBot="1">
      <c r="B88" s="23" t="s">
        <v>3</v>
      </c>
      <c r="C88" s="5" t="s">
        <v>61</v>
      </c>
      <c r="D88" s="12" t="s">
        <v>62</v>
      </c>
    </row>
    <row r="89" spans="2:4" ht="13.5" thickBot="1">
      <c r="B89" s="23" t="s">
        <v>10</v>
      </c>
      <c r="C89" s="48">
        <v>212</v>
      </c>
      <c r="D89" s="49">
        <v>100</v>
      </c>
    </row>
    <row r="90" spans="2:4" ht="12.75">
      <c r="B90" s="15" t="s">
        <v>61</v>
      </c>
      <c r="C90" s="50" t="s">
        <v>63</v>
      </c>
      <c r="D90" s="51">
        <f>D89*9/5+32</f>
        <v>212</v>
      </c>
    </row>
    <row r="91" spans="2:4" ht="13.5" thickBot="1">
      <c r="B91" s="16" t="s">
        <v>62</v>
      </c>
      <c r="C91" s="40">
        <f>(C89-32)*5/9</f>
        <v>100</v>
      </c>
      <c r="D91" s="52" t="s">
        <v>63</v>
      </c>
    </row>
  </sheetData>
  <sheetProtection password="FB81" sheet="1" objects="1" scenarios="1"/>
  <mergeCells count="9">
    <mergeCell ref="B1:H1"/>
    <mergeCell ref="B60:I60"/>
    <mergeCell ref="B27:E27"/>
    <mergeCell ref="B35:E35"/>
    <mergeCell ref="B43:F43"/>
    <mergeCell ref="B86:D86"/>
    <mergeCell ref="B72:G72"/>
    <mergeCell ref="B4:H4"/>
    <mergeCell ref="B16:H16"/>
  </mergeCells>
  <printOptions/>
  <pageMargins left="0.5" right="0.5" top="0.75" bottom="0.75" header="0.5" footer="0.5"/>
  <pageSetup horizontalDpi="300" verticalDpi="300" orientation="portrait" scale="80" r:id="rId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Petrostrategies,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Allen Mesch</dc:creator>
  <cp:keywords/>
  <dc:description/>
  <cp:lastModifiedBy>Allen Mesch</cp:lastModifiedBy>
  <cp:lastPrinted>2002-08-16T22:07:23Z</cp:lastPrinted>
  <dcterms:created xsi:type="dcterms:W3CDTF">2002-08-16T21:41:52Z</dcterms:created>
  <dcterms:modified xsi:type="dcterms:W3CDTF">2002-08-16T23:44:58Z</dcterms:modified>
  <cp:category/>
  <cp:version/>
  <cp:contentType/>
  <cp:contentStatus/>
</cp:coreProperties>
</file>